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<sst xmlns="http://schemas.openxmlformats.org/spreadsheetml/2006/main" count="121" uniqueCount="115">
  <si>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</si>
  <si>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</si>
  <si>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</si>
  <si>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</si>
  <si>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</si>
  <si>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</si>
  <si>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</si>
  <si>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</si>
  <si>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</si>
  <si>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</si>
  <si>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</si>
  <si>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</si>
  <si>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</si>
  <si>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</si>
  <si>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</si>
  <si>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</si>
  <si>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</si>
  <si>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</si>
  <si>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</si>
  <si>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</si>
  <si>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</si>
  <si>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</si>
  <si>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</si>
  <si>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</si>
  <si>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</si>
  <si>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</si>
  <si>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</si>
  <si>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</si>
  <si>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</si>
  <si>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</si>
  <si>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</si>
  <si>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</si>
  <si>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</si>
  <si>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</si>
  <si>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</si>
  <si>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</si>
  <si>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</si>
  <si>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</si>
  <si>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</si>
  <si>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</si>
  <si>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</si>
  <si>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</si>
  <si>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</si>
  <si>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</si>
  <si>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</si>
  <si>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</si>
  <si>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</si>
  <si>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</si>
  <si>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</si>
  <si>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</si>
  <si>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</si>
  <si>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</si>
  <si>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</si>
  <si>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</si>
  <si>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</si>
  <si>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</si>
  <si>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</si>
  <si>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</si>
  <si>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</si>
  <si>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</si>
  <si>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</si>
  <si>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</si>
  <si>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</si>
  <si>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</si>
  <si>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</si>
  <si>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</si>
  <si>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</si>
  <si>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</si>
  <si>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</si>
  <si>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</si>
  <si>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</si>
  <si>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</si>
  <si>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</si>
  <si>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</si>
  <si>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</si>
  <si>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</si>
  <si>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</si>
  <si>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</si>
  <si>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</si>
  <si>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</si>
  <si>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</si>
  <si>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</si>
  <si>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</si>
  <si>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</si>
  <si>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</si>
  <si>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</si>
  <si>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</si>
  <si>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</si>
  <si>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</si>
  <si>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</si>
  <si>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</si>
  <si>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</si>
  <si>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</si>
  <si>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</si>
  <si>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</si>
  <si>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</si>
  <si>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</si>
  <si>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</si>
  <si>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</si>
  <si>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</si>
  <si>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</si>
  <si>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</si>
  <si>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</si>
  <si>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</si>
  <si>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</si>
  <si>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</si>
  <si>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</si>
  <si>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</si>
  <si>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</si>
  <si>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</si>
  <si>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</si>
  <si>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</si>
  <si>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</si>
  <si>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</si>
  <si>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05.07.19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</si>
</sst>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  <xf numFmtId="194" fontId="27" fillId="54" borderId="14" xfId="0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3" sqref="AJ1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21" t="s">
        <v>114</v>
      </c>
      <c r="I7" s="14" t="s">
        <v>38</v>
      </c>
      <c r="J7" s="111" t="s">
        <v>2</v>
      </c>
      <c r="K7" s="109" t="s">
        <v>110</v>
      </c>
    </row>
    <row r="8" spans="1:26" ht="39.75" customHeight="1">
      <c r="A8" s="125"/>
      <c r="B8" s="1" t="s">
        <v>17</v>
      </c>
      <c r="C8" s="125"/>
      <c r="D8" s="108"/>
      <c r="E8" s="108"/>
      <c r="F8" s="108"/>
      <c r="G8" s="49" t="s">
        <v>39</v>
      </c>
      <c r="H8" s="122"/>
      <c r="I8" s="49" t="s">
        <v>109</v>
      </c>
      <c r="J8" s="112"/>
      <c r="K8" s="110"/>
      <c r="M8" s="119" t="s">
        <v>111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0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110329486.5</v>
      </c>
      <c r="I11" s="8"/>
      <c r="J11" s="38">
        <f aca="true" t="shared" si="0" ref="J11:J19">H11/D11*100</f>
        <v>59.375074482046756</v>
      </c>
      <c r="K11" s="38">
        <f>(H11/(N11+O11+P11+Q11+R11+O28+P28+Q28+R28+S11+S28+T11+T28))*100</f>
        <v>85.0980422729404</v>
      </c>
      <c r="L11" s="73"/>
      <c r="M11" s="46">
        <f>N11+O11+P11+Q11+R11+S11+T11-H12</f>
        <v>11042195.619999975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17759435.46</v>
      </c>
      <c r="U11" s="43">
        <f t="shared" si="1"/>
        <v>11996440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102400537.87</v>
      </c>
      <c r="I12" s="37"/>
      <c r="J12" s="51">
        <f t="shared" si="0"/>
        <v>69.5748456666114</v>
      </c>
      <c r="K12" s="66">
        <f>(H12/(N11+O11+P11+Q11+R11+S11))*100</f>
        <v>107.0202846037915</v>
      </c>
      <c r="L12" s="73"/>
      <c r="M12" s="42">
        <f>(N12+O12+P12+Q12+R12+S12+T12)-(H13+H16+H17+H18+H19)</f>
        <v>5783905.799999997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</f>
        <v>8316493.279999999</v>
      </c>
      <c r="U12" s="74">
        <f>12020000-3726000-637560</f>
        <v>7656440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</f>
        <v>37268936.269999996</v>
      </c>
      <c r="I13" s="17"/>
      <c r="J13" s="17">
        <f t="shared" si="0"/>
        <v>76.21615221170165</v>
      </c>
      <c r="K13" s="116">
        <f>((H13+H16+H17+H18+H19)/(N12+O12+P12+Q12+R12+S12))*100</f>
        <v>104.99214184970866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</f>
        <v>3737767.1999999997</v>
      </c>
      <c r="I16" s="17"/>
      <c r="J16" s="17">
        <f t="shared" si="0"/>
        <v>59.32963809523809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</f>
        <v>2396019</v>
      </c>
      <c r="I17" s="17"/>
      <c r="J17" s="17">
        <f t="shared" si="0"/>
        <v>48.89834693877551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</f>
        <v>9861345.73</v>
      </c>
      <c r="I19" s="17"/>
      <c r="J19" s="17">
        <f t="shared" si="0"/>
        <v>97.01751911063013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49136469.67</v>
      </c>
      <c r="I20" s="33"/>
      <c r="J20" s="33">
        <f>H20/D20*100</f>
        <v>63.92409228299167</v>
      </c>
      <c r="K20" s="116">
        <f>(H20/(N20+O20+P20+Q20+R20+S20))*100</f>
        <v>109.30919506800248</v>
      </c>
      <c r="L20" s="73"/>
      <c r="M20" s="42">
        <f>(N20+O20+P20+Q20+R20+S20+T20)-(H20)</f>
        <v>5258289.82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</f>
        <v>15839190.889999999</v>
      </c>
      <c r="I21" s="21"/>
      <c r="J21" s="21">
        <f aca="true" t="shared" si="5" ref="J21:J27">H21/D21*100</f>
        <v>55.547070638298436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</f>
        <v>304046.85</v>
      </c>
      <c r="I22" s="21"/>
      <c r="J22" s="94">
        <f t="shared" si="5"/>
        <v>20.269749460501078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</f>
        <v>1872250.3399999999</v>
      </c>
      <c r="I23" s="21"/>
      <c r="J23" s="21">
        <f t="shared" si="5"/>
        <v>72.00957306955917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</f>
        <v>1047420.8200000002</v>
      </c>
      <c r="I24" s="21"/>
      <c r="J24" s="21">
        <f t="shared" si="5"/>
        <v>58.19004555555557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</f>
        <v>1107124.69</v>
      </c>
      <c r="I25" s="21"/>
      <c r="J25" s="21">
        <f t="shared" si="5"/>
        <v>25.161884742456092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</f>
        <v>611477.7</v>
      </c>
      <c r="I26" s="21">
        <v>17240.18</v>
      </c>
      <c r="J26" s="21">
        <f t="shared" si="5"/>
        <v>40.29532310086949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</f>
        <v>28354958.38</v>
      </c>
      <c r="I27" s="21"/>
      <c r="J27" s="21">
        <f t="shared" si="5"/>
        <v>77.61145587805399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7928948.629999999</v>
      </c>
      <c r="I28" s="51"/>
      <c r="J28" s="51">
        <f>H28/D28*100</f>
        <v>20.52140929034096</v>
      </c>
      <c r="K28" s="66">
        <f>(H28/(N28+O28+P28+Q28+R28+S28))*100</f>
        <v>74.55633808895115</v>
      </c>
      <c r="L28" s="73"/>
      <c r="M28" s="47">
        <f>(N28+O28+P28+Q28+R28+S28+T28)-H28</f>
        <v>8278170.630000001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5572277.43</v>
      </c>
      <c r="U28" s="82">
        <f t="shared" si="6"/>
        <v>6938986.44</v>
      </c>
      <c r="V28" s="82">
        <f t="shared" si="6"/>
        <v>929403</v>
      </c>
      <c r="W28" s="82">
        <f t="shared" si="6"/>
        <v>7992290.13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(N29+O29+P29+Q29+R29+S29+T29)-H29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9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1">H30/D30*100</f>
        <v>0</v>
      </c>
      <c r="K30" s="101">
        <f aca="true" t="shared" si="11" ref="K30:K68">(H30/(N30+O30+P30+Q30+R30+S30))*100</f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112</v>
      </c>
      <c r="D32" s="17">
        <f t="shared" si="9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0"/>
        <v>0</v>
      </c>
      <c r="K32" s="101" t="e">
        <f t="shared" si="11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9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0"/>
        <v>99.52200892857142</v>
      </c>
      <c r="K33" s="101">
        <f t="shared" si="11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8"/>
        <v>0</v>
      </c>
    </row>
    <row r="34" spans="1:27" ht="18">
      <c r="A34" s="26"/>
      <c r="B34" s="27"/>
      <c r="C34" s="81" t="s">
        <v>103</v>
      </c>
      <c r="D34" s="17">
        <f t="shared" si="9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101" t="e">
        <f t="shared" si="11"/>
        <v>#DIV/0!</v>
      </c>
      <c r="L34" s="73"/>
      <c r="M34" s="42">
        <f t="shared" si="12"/>
        <v>225787.43</v>
      </c>
      <c r="N34" s="83"/>
      <c r="O34" s="83"/>
      <c r="P34" s="83"/>
      <c r="Q34" s="83"/>
      <c r="R34" s="83"/>
      <c r="S34" s="83"/>
      <c r="T34" s="100">
        <f>225787.43</f>
        <v>225787.43</v>
      </c>
      <c r="U34" s="100">
        <f>74212.57</f>
        <v>74212.57</v>
      </c>
      <c r="V34" s="83"/>
      <c r="W34" s="83"/>
      <c r="X34" s="83"/>
      <c r="Y34" s="83"/>
      <c r="Z34" s="42">
        <f t="shared" si="13"/>
        <v>300000</v>
      </c>
      <c r="AA34" s="45">
        <f t="shared" si="8"/>
        <v>0</v>
      </c>
    </row>
    <row r="35" spans="1:27" ht="18">
      <c r="A35" s="26"/>
      <c r="B35" s="27"/>
      <c r="C35" s="81" t="s">
        <v>104</v>
      </c>
      <c r="D35" s="17">
        <f t="shared" si="9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0"/>
        <v>0</v>
      </c>
      <c r="K35" s="101" t="e">
        <f t="shared" si="11"/>
        <v>#DIV/0!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8"/>
        <v>0</v>
      </c>
    </row>
    <row r="36" spans="1:27" ht="18">
      <c r="A36" s="26"/>
      <c r="B36" s="27"/>
      <c r="C36" s="81" t="s">
        <v>48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01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1" t="s">
        <v>49</v>
      </c>
      <c r="D37" s="17">
        <f t="shared" si="9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0"/>
        <v>0</v>
      </c>
      <c r="K37" s="101">
        <f t="shared" si="11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8"/>
        <v>0</v>
      </c>
    </row>
    <row r="38" spans="1:27" ht="18">
      <c r="A38" s="26"/>
      <c r="B38" s="27"/>
      <c r="C38" s="80" t="s">
        <v>105</v>
      </c>
      <c r="D38" s="17">
        <f t="shared" si="9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101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100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8"/>
        <v>0</v>
      </c>
    </row>
    <row r="39" spans="1:27" ht="18">
      <c r="A39" s="26"/>
      <c r="B39" s="27"/>
      <c r="C39" s="80" t="s">
        <v>106</v>
      </c>
      <c r="D39" s="17">
        <f t="shared" si="9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101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/>
      <c r="R39" s="100">
        <f>90000-90000</f>
        <v>0</v>
      </c>
      <c r="S39" s="83"/>
      <c r="T39" s="100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8"/>
        <v>0</v>
      </c>
    </row>
    <row r="40" spans="1:27" ht="18">
      <c r="A40" s="26"/>
      <c r="B40" s="27"/>
      <c r="C40" s="81" t="s">
        <v>50</v>
      </c>
      <c r="D40" s="17">
        <f t="shared" si="9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0"/>
        <v>0</v>
      </c>
      <c r="K40" s="101" t="e">
        <f t="shared" si="11"/>
        <v>#DIV/0!</v>
      </c>
      <c r="L40" s="73"/>
      <c r="M40" s="42">
        <f t="shared" si="12"/>
        <v>100000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</f>
        <v>100000</v>
      </c>
      <c r="U40" s="83"/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8"/>
        <v>0</v>
      </c>
    </row>
    <row r="41" spans="1:27" ht="18">
      <c r="A41" s="26"/>
      <c r="B41" s="27"/>
      <c r="C41" s="81" t="s">
        <v>51</v>
      </c>
      <c r="D41" s="17">
        <f t="shared" si="9"/>
        <v>1400000</v>
      </c>
      <c r="E41" s="17"/>
      <c r="F41" s="17">
        <f t="shared" si="7"/>
        <v>1400000</v>
      </c>
      <c r="G41" s="17">
        <v>1400000</v>
      </c>
      <c r="H41" s="53">
        <f>64000</f>
        <v>64000</v>
      </c>
      <c r="I41" s="53"/>
      <c r="J41" s="17">
        <f t="shared" si="10"/>
        <v>4.571428571428571</v>
      </c>
      <c r="K41" s="48">
        <f t="shared" si="11"/>
        <v>100</v>
      </c>
      <c r="L41" s="73"/>
      <c r="M41" s="42">
        <f t="shared" si="12"/>
        <v>585000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8"/>
        <v>0</v>
      </c>
    </row>
    <row r="42" spans="1:27" ht="18">
      <c r="A42" s="26"/>
      <c r="B42" s="27"/>
      <c r="C42" s="81" t="s">
        <v>52</v>
      </c>
      <c r="D42" s="17">
        <f t="shared" si="9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101">
        <f t="shared" si="11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8"/>
        <v>0</v>
      </c>
    </row>
    <row r="43" spans="1:27" ht="18">
      <c r="A43" s="26"/>
      <c r="B43" s="27"/>
      <c r="C43" s="81" t="s">
        <v>53</v>
      </c>
      <c r="D43" s="17">
        <f t="shared" si="9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101" t="e">
        <f t="shared" si="11"/>
        <v>#DIV/0!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8"/>
        <v>0</v>
      </c>
    </row>
    <row r="44" spans="1:27" ht="18">
      <c r="A44" s="26"/>
      <c r="B44" s="27"/>
      <c r="C44" s="81" t="s">
        <v>54</v>
      </c>
      <c r="D44" s="17">
        <f t="shared" si="9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101" t="e">
        <f t="shared" si="11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8"/>
        <v>0</v>
      </c>
    </row>
    <row r="45" spans="1:27" ht="18">
      <c r="A45" s="26"/>
      <c r="B45" s="27"/>
      <c r="C45" s="81" t="s">
        <v>55</v>
      </c>
      <c r="D45" s="17">
        <f t="shared" si="9"/>
        <v>360834</v>
      </c>
      <c r="E45" s="17"/>
      <c r="F45" s="17">
        <f t="shared" si="7"/>
        <v>360834</v>
      </c>
      <c r="G45" s="17">
        <v>360834</v>
      </c>
      <c r="H45" s="53">
        <f>144314</f>
        <v>144314</v>
      </c>
      <c r="I45" s="51"/>
      <c r="J45" s="17">
        <f t="shared" si="10"/>
        <v>39.994568139366024</v>
      </c>
      <c r="K45" s="101">
        <f t="shared" si="11"/>
        <v>17303.836930455636</v>
      </c>
      <c r="L45" s="73"/>
      <c r="M45" s="42">
        <f t="shared" si="12"/>
        <v>216520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8"/>
        <v>0</v>
      </c>
    </row>
    <row r="46" spans="1:27" ht="18">
      <c r="A46" s="26"/>
      <c r="B46" s="27"/>
      <c r="C46" s="81" t="s">
        <v>56</v>
      </c>
      <c r="D46" s="17">
        <f t="shared" si="9"/>
        <v>300000</v>
      </c>
      <c r="E46" s="17"/>
      <c r="F46" s="17">
        <f t="shared" si="7"/>
        <v>300000</v>
      </c>
      <c r="G46" s="17">
        <v>300000</v>
      </c>
      <c r="H46" s="53">
        <f>16200</f>
        <v>16200</v>
      </c>
      <c r="I46" s="51"/>
      <c r="J46" s="17">
        <f t="shared" si="10"/>
        <v>5.4</v>
      </c>
      <c r="K46" s="101">
        <f t="shared" si="11"/>
        <v>62.30769230769231</v>
      </c>
      <c r="L46" s="73"/>
      <c r="M46" s="42">
        <f t="shared" si="12"/>
        <v>269800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v>260000</v>
      </c>
      <c r="U46" s="83"/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8"/>
        <v>0</v>
      </c>
    </row>
    <row r="47" spans="1:27" ht="18">
      <c r="A47" s="26"/>
      <c r="B47" s="27"/>
      <c r="C47" s="81" t="s">
        <v>107</v>
      </c>
      <c r="D47" s="17">
        <f t="shared" si="9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0"/>
        <v>0</v>
      </c>
      <c r="K47" s="101" t="e">
        <f t="shared" si="11"/>
        <v>#DIV/0!</v>
      </c>
      <c r="L47" s="73"/>
      <c r="M47" s="42">
        <f t="shared" si="12"/>
        <v>115000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</f>
        <v>115000</v>
      </c>
      <c r="U47" s="83"/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8"/>
        <v>0</v>
      </c>
    </row>
    <row r="48" spans="1:27" ht="18">
      <c r="A48" s="26"/>
      <c r="B48" s="27"/>
      <c r="C48" s="81" t="s">
        <v>57</v>
      </c>
      <c r="D48" s="17">
        <f t="shared" si="9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0"/>
        <v>0</v>
      </c>
      <c r="K48" s="101">
        <f t="shared" si="11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8"/>
        <v>0</v>
      </c>
    </row>
    <row r="49" spans="1:27" ht="18">
      <c r="A49" s="26"/>
      <c r="B49" s="27"/>
      <c r="C49" s="81" t="s">
        <v>58</v>
      </c>
      <c r="D49" s="17">
        <f t="shared" si="9"/>
        <v>3709</v>
      </c>
      <c r="E49" s="17"/>
      <c r="F49" s="17">
        <f t="shared" si="7"/>
        <v>3709</v>
      </c>
      <c r="G49" s="17">
        <v>3709</v>
      </c>
      <c r="H49" s="53">
        <f>3709</f>
        <v>3709</v>
      </c>
      <c r="I49" s="17"/>
      <c r="J49" s="17">
        <f t="shared" si="10"/>
        <v>100</v>
      </c>
      <c r="K49" s="48">
        <f t="shared" si="11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8"/>
        <v>0</v>
      </c>
    </row>
    <row r="50" spans="1:27" ht="18">
      <c r="A50" s="26"/>
      <c r="B50" s="27"/>
      <c r="C50" s="81" t="s">
        <v>59</v>
      </c>
      <c r="D50" s="17">
        <f t="shared" si="9"/>
        <v>550000</v>
      </c>
      <c r="E50" s="17"/>
      <c r="F50" s="17">
        <f t="shared" si="7"/>
        <v>550000</v>
      </c>
      <c r="G50" s="17">
        <v>550000</v>
      </c>
      <c r="H50" s="53">
        <f>20000</f>
        <v>20000</v>
      </c>
      <c r="I50" s="51"/>
      <c r="J50" s="84">
        <f t="shared" si="10"/>
        <v>3.6363636363636362</v>
      </c>
      <c r="K50" s="48">
        <f t="shared" si="11"/>
        <v>44.44444444444444</v>
      </c>
      <c r="L50" s="73"/>
      <c r="M50" s="42">
        <f t="shared" si="12"/>
        <v>25000</v>
      </c>
      <c r="N50" s="83"/>
      <c r="O50" s="83"/>
      <c r="P50" s="83"/>
      <c r="Q50" s="83">
        <v>45000</v>
      </c>
      <c r="R50" s="83"/>
      <c r="S50" s="83"/>
      <c r="T50" s="83">
        <f>350000-350000</f>
        <v>0</v>
      </c>
      <c r="U50" s="83"/>
      <c r="V50" s="83">
        <f>350000</f>
        <v>350000</v>
      </c>
      <c r="W50" s="83">
        <v>155000</v>
      </c>
      <c r="X50" s="83"/>
      <c r="Y50" s="83"/>
      <c r="Z50" s="42">
        <f t="shared" si="13"/>
        <v>550000</v>
      </c>
      <c r="AA50" s="45">
        <f t="shared" si="8"/>
        <v>0</v>
      </c>
    </row>
    <row r="51" spans="1:27" ht="18">
      <c r="A51" s="26"/>
      <c r="B51" s="27"/>
      <c r="C51" s="81" t="s">
        <v>60</v>
      </c>
      <c r="D51" s="17">
        <f t="shared" si="9"/>
        <v>1430000</v>
      </c>
      <c r="E51" s="17"/>
      <c r="F51" s="17">
        <f t="shared" si="7"/>
        <v>1430000</v>
      </c>
      <c r="G51" s="17">
        <v>1430000</v>
      </c>
      <c r="H51" s="53">
        <f>970000+298704.47</f>
        <v>1268704.47</v>
      </c>
      <c r="I51" s="17"/>
      <c r="J51" s="75">
        <f t="shared" si="10"/>
        <v>88.7205923076923</v>
      </c>
      <c r="K51" s="48">
        <f t="shared" si="11"/>
        <v>126.87044699999998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8"/>
        <v>0</v>
      </c>
    </row>
    <row r="52" spans="1:27" ht="18">
      <c r="A52" s="26"/>
      <c r="B52" s="27"/>
      <c r="C52" s="81" t="s">
        <v>61</v>
      </c>
      <c r="D52" s="17">
        <f t="shared" si="9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0"/>
        <v>0</v>
      </c>
      <c r="K52" s="101">
        <f t="shared" si="11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8"/>
        <v>0</v>
      </c>
    </row>
    <row r="53" spans="1:27" ht="18">
      <c r="A53" s="26"/>
      <c r="B53" s="27"/>
      <c r="C53" s="81" t="s">
        <v>62</v>
      </c>
      <c r="D53" s="17">
        <f t="shared" si="9"/>
        <v>1450000</v>
      </c>
      <c r="E53" s="17"/>
      <c r="F53" s="17">
        <f t="shared" si="7"/>
        <v>1450000</v>
      </c>
      <c r="G53" s="17">
        <v>1450000</v>
      </c>
      <c r="H53" s="53">
        <f>77000</f>
        <v>77000</v>
      </c>
      <c r="I53" s="51"/>
      <c r="J53" s="17">
        <f t="shared" si="10"/>
        <v>5.310344827586206</v>
      </c>
      <c r="K53" s="101">
        <f t="shared" si="11"/>
        <v>66.95652173913044</v>
      </c>
      <c r="L53" s="73"/>
      <c r="M53" s="42">
        <f t="shared" si="12"/>
        <v>838000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8"/>
        <v>0</v>
      </c>
    </row>
    <row r="54" spans="1:27" ht="36">
      <c r="A54" s="26"/>
      <c r="B54" s="27"/>
      <c r="C54" s="81" t="s">
        <v>63</v>
      </c>
      <c r="D54" s="17">
        <f t="shared" si="9"/>
        <v>2500000</v>
      </c>
      <c r="E54" s="17"/>
      <c r="F54" s="17">
        <f t="shared" si="7"/>
        <v>2500000</v>
      </c>
      <c r="G54" s="17">
        <v>2500000</v>
      </c>
      <c r="H54" s="53">
        <f>120000+106060</f>
        <v>226060</v>
      </c>
      <c r="I54" s="53"/>
      <c r="J54" s="75">
        <f t="shared" si="10"/>
        <v>9.0424</v>
      </c>
      <c r="K54" s="48">
        <f t="shared" si="11"/>
        <v>95.08507013817325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8"/>
        <v>0</v>
      </c>
    </row>
    <row r="55" spans="1:27" ht="36">
      <c r="A55" s="26"/>
      <c r="B55" s="27"/>
      <c r="C55" s="81" t="s">
        <v>64</v>
      </c>
      <c r="D55" s="17">
        <f t="shared" si="9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6">
        <f t="shared" si="10"/>
        <v>0</v>
      </c>
      <c r="K55" s="48" t="e">
        <f t="shared" si="11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8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0"/>
        <v>89.56556509962319</v>
      </c>
      <c r="K56" s="48">
        <f t="shared" si="11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8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0"/>
        <v>73.69819977373515</v>
      </c>
      <c r="K57" s="48">
        <f t="shared" si="11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8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0"/>
        <v>42.53782435841455</v>
      </c>
      <c r="K58" s="48">
        <f t="shared" si="11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8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/>
      <c r="I59" s="53"/>
      <c r="J59" s="84"/>
      <c r="K59" s="48">
        <f t="shared" si="11"/>
        <v>0</v>
      </c>
      <c r="L59" s="73"/>
      <c r="M59" s="42">
        <f t="shared" si="12"/>
        <v>230000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8"/>
        <v>0</v>
      </c>
    </row>
    <row r="60" spans="1:27" ht="18">
      <c r="A60" s="26"/>
      <c r="B60" s="27"/>
      <c r="C60" s="81" t="s">
        <v>65</v>
      </c>
      <c r="D60" s="17">
        <f t="shared" si="9"/>
        <v>1000000</v>
      </c>
      <c r="E60" s="17"/>
      <c r="F60" s="17">
        <f t="shared" si="7"/>
        <v>1000000</v>
      </c>
      <c r="G60" s="17">
        <v>1000000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800000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8"/>
        <v>0</v>
      </c>
    </row>
    <row r="61" spans="1:27" ht="18">
      <c r="A61" s="26"/>
      <c r="B61" s="27"/>
      <c r="C61" s="81" t="s">
        <v>66</v>
      </c>
      <c r="D61" s="17">
        <f t="shared" si="9"/>
        <v>768000</v>
      </c>
      <c r="E61" s="17"/>
      <c r="F61" s="17">
        <f t="shared" si="7"/>
        <v>768000</v>
      </c>
      <c r="G61" s="17">
        <f>800000-32000</f>
        <v>768000</v>
      </c>
      <c r="H61" s="53">
        <f>48000</f>
        <v>48000</v>
      </c>
      <c r="I61" s="53"/>
      <c r="J61" s="17">
        <f t="shared" si="10"/>
        <v>6.25</v>
      </c>
      <c r="K61" s="48">
        <f t="shared" si="11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/>
      <c r="U61" s="85">
        <f>12000</f>
        <v>12000</v>
      </c>
      <c r="V61" s="85"/>
      <c r="W61" s="85">
        <f>500000-32000</f>
        <v>468000</v>
      </c>
      <c r="X61" s="85"/>
      <c r="Y61" s="85">
        <v>240000</v>
      </c>
      <c r="Z61" s="42">
        <f t="shared" si="13"/>
        <v>768000</v>
      </c>
      <c r="AA61" s="45">
        <f t="shared" si="8"/>
        <v>0</v>
      </c>
    </row>
    <row r="62" spans="1:27" ht="18">
      <c r="A62" s="26"/>
      <c r="B62" s="27"/>
      <c r="C62" s="81" t="s">
        <v>67</v>
      </c>
      <c r="D62" s="17">
        <f t="shared" si="9"/>
        <v>632000</v>
      </c>
      <c r="E62" s="17"/>
      <c r="F62" s="17">
        <f t="shared" si="7"/>
        <v>632000</v>
      </c>
      <c r="G62" s="17">
        <f>600000+32000</f>
        <v>632000</v>
      </c>
      <c r="H62" s="53">
        <f>42000</f>
        <v>42000</v>
      </c>
      <c r="I62" s="53"/>
      <c r="J62" s="17">
        <f t="shared" si="10"/>
        <v>6.645569620253164</v>
      </c>
      <c r="K62" s="48">
        <f t="shared" si="11"/>
        <v>100</v>
      </c>
      <c r="L62" s="73"/>
      <c r="M62" s="42">
        <f t="shared" si="12"/>
        <v>328160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8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</f>
        <v>60000</v>
      </c>
      <c r="I63" s="53"/>
      <c r="J63" s="17">
        <f t="shared" si="10"/>
        <v>4.6801872074882995</v>
      </c>
      <c r="K63" s="48">
        <f t="shared" si="11"/>
        <v>100</v>
      </c>
      <c r="L63" s="73"/>
      <c r="M63" s="42">
        <f t="shared" si="12"/>
        <v>0</v>
      </c>
      <c r="N63" s="85"/>
      <c r="O63" s="85"/>
      <c r="P63" s="85"/>
      <c r="Q63" s="85">
        <v>120000</v>
      </c>
      <c r="R63" s="85"/>
      <c r="S63" s="100">
        <f>21000-81000</f>
        <v>-60000</v>
      </c>
      <c r="T63" s="100"/>
      <c r="U63" s="100">
        <f>225695.87+81000</f>
        <v>306695.87</v>
      </c>
      <c r="V63" s="100">
        <v>175000</v>
      </c>
      <c r="W63" s="100">
        <f>600000+35304.13</f>
        <v>635304.13</v>
      </c>
      <c r="X63" s="100"/>
      <c r="Y63" s="100">
        <f>280000-175000</f>
        <v>105000</v>
      </c>
      <c r="Z63" s="42">
        <f t="shared" si="13"/>
        <v>1282000</v>
      </c>
      <c r="AA63" s="45">
        <f t="shared" si="8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8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0"/>
        <v>99.88701866880407</v>
      </c>
      <c r="K65" s="48">
        <f t="shared" si="11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8"/>
        <v>0</v>
      </c>
    </row>
    <row r="66" spans="1:27" ht="18">
      <c r="A66" s="26"/>
      <c r="B66" s="27"/>
      <c r="C66" s="81" t="s">
        <v>71</v>
      </c>
      <c r="D66" s="17">
        <f t="shared" si="9"/>
        <v>2800000</v>
      </c>
      <c r="E66" s="17"/>
      <c r="F66" s="17">
        <f t="shared" si="7"/>
        <v>2800000</v>
      </c>
      <c r="G66" s="17">
        <f>3000000-200000</f>
        <v>2800000</v>
      </c>
      <c r="H66" s="53">
        <f>1761451.15+696863.29</f>
        <v>2458314.44</v>
      </c>
      <c r="I66" s="53"/>
      <c r="J66" s="99">
        <f t="shared" si="10"/>
        <v>87.79694428571429</v>
      </c>
      <c r="K66" s="48">
        <f t="shared" si="11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8"/>
        <v>0</v>
      </c>
    </row>
    <row r="67" spans="1:27" ht="18">
      <c r="A67" s="26"/>
      <c r="B67" s="27"/>
      <c r="C67" s="81" t="s">
        <v>72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>
        <f>70000+42060</f>
        <v>112060</v>
      </c>
      <c r="I67" s="53"/>
      <c r="J67" s="17">
        <f t="shared" si="10"/>
        <v>8.004285714285714</v>
      </c>
      <c r="K67" s="48">
        <f t="shared" si="11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8"/>
        <v>0</v>
      </c>
    </row>
    <row r="68" spans="1:27" ht="18">
      <c r="A68" s="13"/>
      <c r="B68" s="13"/>
      <c r="C68" s="81" t="s">
        <v>73</v>
      </c>
      <c r="D68" s="17">
        <f t="shared" si="9"/>
        <v>1400000</v>
      </c>
      <c r="E68" s="17"/>
      <c r="F68" s="17">
        <f t="shared" si="7"/>
        <v>1400000</v>
      </c>
      <c r="G68" s="17">
        <v>1400000</v>
      </c>
      <c r="H68" s="53">
        <f>43000</f>
        <v>43000</v>
      </c>
      <c r="I68" s="53"/>
      <c r="J68" s="98">
        <f t="shared" si="10"/>
        <v>3.0714285714285716</v>
      </c>
      <c r="K68" s="48">
        <f t="shared" si="11"/>
        <v>100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8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0"/>
        <v>#DIV/0!</v>
      </c>
      <c r="K69" s="48" t="e">
        <f aca="true" t="shared" si="14" ref="K69:K81">(H69/(N69+O69+P69+Q69+R69))*100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8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0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8"/>
        <v>0</v>
      </c>
    </row>
    <row r="82" spans="1:27" ht="18">
      <c r="A82" s="105" t="s">
        <v>36</v>
      </c>
      <c r="B82" s="106"/>
      <c r="C82" s="106"/>
      <c r="D82" s="106"/>
      <c r="E82" s="106"/>
      <c r="F82" s="106"/>
      <c r="G82" s="107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8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29289001.939999998</v>
      </c>
      <c r="I83" s="8"/>
      <c r="J83" s="8">
        <f aca="true" t="shared" si="18" ref="J83:J111">H83/D83*100</f>
        <v>13.402376122292772</v>
      </c>
      <c r="K83" s="8">
        <f>(H83/(N83+O83+P83+Q83+R83+S83))*100</f>
        <v>76.51381378654196</v>
      </c>
      <c r="L83" s="73"/>
      <c r="M83" s="97">
        <f>(N83+O83+P83+Q83+R83+S83+T83)-H83</f>
        <v>35126562.910000004</v>
      </c>
      <c r="N83" s="59">
        <f aca="true" t="shared" si="19" ref="N83:Y83">SUM(N84:N111)</f>
        <v>0</v>
      </c>
      <c r="O83" s="47">
        <f t="shared" si="19"/>
        <v>150000</v>
      </c>
      <c r="P83" s="47">
        <f t="shared" si="19"/>
        <v>19400000</v>
      </c>
      <c r="Q83" s="47">
        <f t="shared" si="19"/>
        <v>2949500</v>
      </c>
      <c r="R83" s="47">
        <f t="shared" si="19"/>
        <v>10966864</v>
      </c>
      <c r="S83" s="47">
        <f t="shared" si="19"/>
        <v>4813000.85</v>
      </c>
      <c r="T83" s="47">
        <f t="shared" si="19"/>
        <v>26136200</v>
      </c>
      <c r="U83" s="47">
        <f t="shared" si="19"/>
        <v>34368600</v>
      </c>
      <c r="V83" s="47">
        <f t="shared" si="19"/>
        <v>22151600</v>
      </c>
      <c r="W83" s="47">
        <f t="shared" si="19"/>
        <v>29307000.42</v>
      </c>
      <c r="X83" s="47">
        <f t="shared" si="19"/>
        <v>45502500</v>
      </c>
      <c r="Y83" s="47">
        <f t="shared" si="19"/>
        <v>22790624.73</v>
      </c>
      <c r="Z83" s="42">
        <f t="shared" si="13"/>
        <v>218535889.99999997</v>
      </c>
      <c r="AA83" s="45">
        <f t="shared" si="8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95">
        <f>(H84/(N84+O84+P84+Q84+R84+S84))*100</f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8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8"/>
        <v>0.7568</v>
      </c>
      <c r="K85" s="95">
        <f aca="true" t="shared" si="20" ref="K85:K112">(H85/(N85+O85+P85+Q85+R85+S85))*100</f>
        <v>5.045333333333334</v>
      </c>
      <c r="L85" s="73"/>
      <c r="M85" s="42">
        <f aca="true" t="shared" si="21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8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95">
        <f t="shared" si="20"/>
        <v>5.8709999999999996</v>
      </c>
      <c r="L86" s="73"/>
      <c r="M86" s="42">
        <f t="shared" si="21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8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95">
        <f t="shared" si="20"/>
        <v>4.394991652754591</v>
      </c>
      <c r="L87" s="73"/>
      <c r="M87" s="42">
        <f t="shared" si="21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8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102">
        <f t="shared" si="20"/>
        <v>63.357615555555554</v>
      </c>
      <c r="L88" s="73"/>
      <c r="M88" s="42">
        <f t="shared" si="21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8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102">
        <f t="shared" si="20"/>
        <v>100</v>
      </c>
      <c r="L89" s="73"/>
      <c r="M89" s="42">
        <f t="shared" si="21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8">
        <f t="shared" si="18"/>
        <v>2.1199</v>
      </c>
      <c r="K90" s="102">
        <f t="shared" si="20"/>
        <v>21.199</v>
      </c>
      <c r="L90" s="73"/>
      <c r="M90" s="42">
        <f t="shared" si="21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8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102">
        <f t="shared" si="20"/>
        <v>135.2265520865751</v>
      </c>
      <c r="L91" s="73"/>
      <c r="M91" s="42">
        <f t="shared" si="21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8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</f>
        <v>847001.35</v>
      </c>
      <c r="I92" s="54"/>
      <c r="J92" s="75">
        <f t="shared" si="18"/>
        <v>2.8233378333333334</v>
      </c>
      <c r="K92" s="102">
        <f t="shared" si="20"/>
        <v>8.066679523809524</v>
      </c>
      <c r="L92" s="73"/>
      <c r="M92" s="42">
        <f t="shared" si="21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8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102">
        <f t="shared" si="20"/>
        <v>98.18444444444445</v>
      </c>
      <c r="L93" s="73"/>
      <c r="M93" s="42">
        <f t="shared" si="21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8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95">
        <f t="shared" si="20"/>
        <v>11.655925925925926</v>
      </c>
      <c r="L94" s="73"/>
      <c r="M94" s="42">
        <f t="shared" si="21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8"/>
        <v>0</v>
      </c>
    </row>
    <row r="95" spans="1:27" ht="18">
      <c r="A95" s="56"/>
      <c r="B95" s="18"/>
      <c r="C95" s="81" t="s">
        <v>113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95">
        <f t="shared" si="20"/>
        <v>90.34824108836017</v>
      </c>
      <c r="L95" s="73"/>
      <c r="M95" s="42">
        <f t="shared" si="21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4">
        <f>3000000-1000000-531000</f>
        <v>1469000</v>
      </c>
      <c r="U95" s="104"/>
      <c r="V95" s="104">
        <v>1000000</v>
      </c>
      <c r="W95" s="104"/>
      <c r="X95" s="104">
        <v>20000000</v>
      </c>
      <c r="Y95" s="104">
        <f>15478996-5000000</f>
        <v>10478996</v>
      </c>
      <c r="Z95" s="42">
        <f t="shared" si="13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9">
        <f t="shared" si="18"/>
        <v>1.9501428571428572</v>
      </c>
      <c r="K96" s="102">
        <f t="shared" si="20"/>
        <v>99.64233576642336</v>
      </c>
      <c r="L96" s="92"/>
      <c r="M96" s="42">
        <f t="shared" si="21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95">
        <f t="shared" si="20"/>
        <v>99.75384615384615</v>
      </c>
      <c r="L97" s="73"/>
      <c r="M97" s="42">
        <f t="shared" si="21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95" t="e">
        <f t="shared" si="20"/>
        <v>#DIV/0!</v>
      </c>
      <c r="L98" s="73"/>
      <c r="M98" s="42">
        <f t="shared" si="21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95">
        <f t="shared" si="20"/>
        <v>0</v>
      </c>
      <c r="L100" s="73"/>
      <c r="M100" s="42">
        <f t="shared" si="21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8">
        <f t="shared" si="18"/>
        <v>10.397322940183894</v>
      </c>
      <c r="K101" s="102">
        <f t="shared" si="20"/>
        <v>54.25502899933926</v>
      </c>
      <c r="L101" s="73"/>
      <c r="M101" s="42">
        <f t="shared" si="21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9">
        <f t="shared" si="18"/>
        <v>2.65304</v>
      </c>
      <c r="K102" s="102">
        <f t="shared" si="20"/>
        <v>73.69555555555556</v>
      </c>
      <c r="L102" s="73"/>
      <c r="M102" s="42">
        <f t="shared" si="21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102">
        <f t="shared" si="20"/>
        <v>97.59166666666667</v>
      </c>
      <c r="L103" s="73"/>
      <c r="M103" s="42">
        <f t="shared" si="21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95">
        <f t="shared" si="20"/>
        <v>0</v>
      </c>
      <c r="L104" s="73"/>
      <c r="M104" s="42">
        <f t="shared" si="21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102">
        <f t="shared" si="20"/>
        <v>98.3986</v>
      </c>
      <c r="L105" s="73"/>
      <c r="M105" s="42">
        <f t="shared" si="21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/>
      <c r="I106" s="54"/>
      <c r="J106" s="84">
        <f t="shared" si="18"/>
        <v>0</v>
      </c>
      <c r="K106" s="95">
        <f t="shared" si="20"/>
        <v>0</v>
      </c>
      <c r="L106" s="73"/>
      <c r="M106" s="42">
        <f t="shared" si="21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102">
        <f t="shared" si="20"/>
        <v>99.77543307086614</v>
      </c>
      <c r="L107" s="73"/>
      <c r="M107" s="42">
        <f t="shared" si="21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95">
        <f t="shared" si="20"/>
        <v>71.73397833333334</v>
      </c>
      <c r="L108" s="73"/>
      <c r="M108" s="42">
        <f t="shared" si="21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95" t="e">
        <f t="shared" si="20"/>
        <v>#DIV/0!</v>
      </c>
      <c r="L109" s="73"/>
      <c r="M109" s="42">
        <f t="shared" si="21"/>
        <v>3000000</v>
      </c>
      <c r="N109" s="87"/>
      <c r="O109" s="87"/>
      <c r="P109" s="87"/>
      <c r="Q109" s="87"/>
      <c r="R109" s="87"/>
      <c r="S109" s="87"/>
      <c r="T109" s="87">
        <f>3000000</f>
        <v>3000000</v>
      </c>
      <c r="U109" s="87"/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</f>
        <v>11152272.23</v>
      </c>
      <c r="I110" s="54"/>
      <c r="J110" s="17">
        <f t="shared" si="18"/>
        <v>49.97003408023687</v>
      </c>
      <c r="K110" s="102">
        <f t="shared" si="20"/>
        <v>167.70334180451127</v>
      </c>
      <c r="L110" s="73"/>
      <c r="M110" s="42">
        <f t="shared" si="21"/>
        <v>797727.7699999996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v>5300000</v>
      </c>
      <c r="U110" s="87">
        <f>4000000+2850000</f>
        <v>6850000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95">
        <f t="shared" si="20"/>
        <v>0</v>
      </c>
      <c r="L111" s="73"/>
      <c r="M111" s="42">
        <f t="shared" si="21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139618488.44</v>
      </c>
      <c r="I112" s="8"/>
      <c r="J112" s="8">
        <f>H112/D112*100</f>
        <v>34.52879862983687</v>
      </c>
      <c r="K112" s="103">
        <f t="shared" si="20"/>
        <v>96.55663748832615</v>
      </c>
      <c r="L112" s="73"/>
      <c r="M112" s="47">
        <f>(N112+O112+P112+Q112+R112+S112+T112)-H112</f>
        <v>54446929.15999997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49467912.89</v>
      </c>
      <c r="U112" s="47">
        <f t="shared" si="26"/>
        <v>53304026.44</v>
      </c>
      <c r="V112" s="47">
        <f t="shared" si="26"/>
        <v>29796165.28</v>
      </c>
      <c r="W112" s="47">
        <f t="shared" si="26"/>
        <v>43119290.550000004</v>
      </c>
      <c r="X112" s="47">
        <f t="shared" si="26"/>
        <v>54289325.87</v>
      </c>
      <c r="Y112" s="47">
        <f t="shared" si="26"/>
        <v>29779513.69</v>
      </c>
      <c r="Z112" s="42">
        <f t="shared" si="25"/>
        <v>404353739.42999995</v>
      </c>
      <c r="AA112" s="45">
        <f t="shared" si="24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2019-07-05T12:38:21Z</dcterms:modified>
  <cp:category/>
  <cp:version/>
  <cp:contentType/>
  <cp:contentStatus/>
</cp:coreProperties>
</file>